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8040"/>
  </bookViews>
  <sheets>
    <sheet name="Estimate" sheetId="1" r:id="rId1"/>
    <sheet name="Cut &amp; Fill" sheetId="2" r:id="rId2"/>
  </sheets>
  <definedNames>
    <definedName name="_xlnm.Print_Area" localSheetId="1">'Cut &amp; Fill'!$A$1:$H$13</definedName>
  </definedNames>
  <calcPr calcId="145621"/>
</workbook>
</file>

<file path=xl/calcChain.xml><?xml version="1.0" encoding="utf-8"?>
<calcChain xmlns="http://schemas.openxmlformats.org/spreadsheetml/2006/main">
  <c r="D31" i="1" l="1"/>
  <c r="D30" i="1"/>
  <c r="D29" i="1"/>
  <c r="D22" i="1"/>
  <c r="D21" i="1"/>
  <c r="D20" i="1"/>
  <c r="D19" i="1"/>
  <c r="D18" i="1"/>
  <c r="D17" i="1"/>
  <c r="D16" i="1"/>
  <c r="D15" i="1"/>
  <c r="D14" i="1"/>
  <c r="D13" i="1"/>
  <c r="D11" i="1"/>
  <c r="D28" i="1" l="1"/>
  <c r="D33" i="1"/>
  <c r="F30" i="1"/>
  <c r="C9" i="2"/>
  <c r="C7" i="2"/>
  <c r="D12" i="2"/>
  <c r="G12" i="2" s="1"/>
  <c r="D10" i="2"/>
  <c r="C13" i="2"/>
  <c r="B13" i="2"/>
  <c r="C11" i="2"/>
  <c r="B11" i="2"/>
  <c r="B9" i="2"/>
  <c r="D8" i="2"/>
  <c r="B7" i="2"/>
  <c r="D6" i="2"/>
  <c r="H4" i="2"/>
  <c r="F4" i="2"/>
  <c r="C5" i="2"/>
  <c r="B5" i="2"/>
  <c r="C3" i="2"/>
  <c r="B3" i="2"/>
  <c r="D4" i="2"/>
  <c r="G10" i="2" l="1"/>
  <c r="G6" i="2"/>
  <c r="H6" i="2" s="1"/>
  <c r="E12" i="2"/>
  <c r="F12" i="2" s="1"/>
  <c r="E10" i="2"/>
  <c r="F10" i="2" s="1"/>
  <c r="G8" i="2"/>
  <c r="E8" i="2"/>
  <c r="F8" i="2" s="1"/>
  <c r="E6" i="2"/>
  <c r="F6" i="2" s="1"/>
  <c r="E4" i="2"/>
  <c r="G4" i="2"/>
  <c r="D7" i="1"/>
  <c r="D6" i="1"/>
  <c r="H8" i="2" l="1"/>
  <c r="H10" i="2" s="1"/>
  <c r="H12" i="2" s="1"/>
  <c r="F16" i="1"/>
  <c r="F15" i="1" l="1"/>
  <c r="F29" i="1"/>
  <c r="F11" i="1" l="1"/>
  <c r="F38" i="1" l="1"/>
  <c r="F28" i="1" l="1"/>
  <c r="F12" i="1" l="1"/>
  <c r="F13" i="1"/>
  <c r="F17" i="1"/>
  <c r="D34" i="1"/>
  <c r="F24" i="1"/>
  <c r="F37" i="1" l="1"/>
  <c r="F36" i="1"/>
  <c r="F34" i="1"/>
  <c r="F25" i="1" l="1"/>
  <c r="F39" i="1"/>
  <c r="F35" i="1"/>
  <c r="F33" i="1"/>
  <c r="F32" i="1"/>
  <c r="F31" i="1"/>
  <c r="F27" i="1"/>
  <c r="F26" i="1"/>
  <c r="F23" i="1"/>
  <c r="F22" i="1"/>
  <c r="F21" i="1"/>
  <c r="F20" i="1"/>
  <c r="F19" i="1"/>
  <c r="F18" i="1"/>
  <c r="F14" i="1"/>
  <c r="F10" i="1"/>
  <c r="F9" i="1"/>
  <c r="F8" i="1"/>
  <c r="F6" i="1"/>
  <c r="F7" i="1"/>
  <c r="F5" i="1"/>
  <c r="F4" i="1"/>
  <c r="F40" i="1" l="1"/>
</calcChain>
</file>

<file path=xl/sharedStrings.xml><?xml version="1.0" encoding="utf-8"?>
<sst xmlns="http://schemas.openxmlformats.org/spreadsheetml/2006/main" count="158" uniqueCount="128">
  <si>
    <t>Pay Item No.</t>
  </si>
  <si>
    <t>Description</t>
  </si>
  <si>
    <t>101-1</t>
  </si>
  <si>
    <t>Mobilization</t>
  </si>
  <si>
    <t>LS</t>
  </si>
  <si>
    <t>Sediment Barrier</t>
  </si>
  <si>
    <t>LF</t>
  </si>
  <si>
    <t>104-15</t>
  </si>
  <si>
    <t>EA</t>
  </si>
  <si>
    <t>104-18</t>
  </si>
  <si>
    <t>107-1</t>
  </si>
  <si>
    <t>Litter Removal and Disposal (30 days)</t>
  </si>
  <si>
    <t>120-3</t>
  </si>
  <si>
    <t>Lateral Ditch Excavation</t>
  </si>
  <si>
    <t>CY</t>
  </si>
  <si>
    <t>0160-4</t>
  </si>
  <si>
    <t>SY</t>
  </si>
  <si>
    <t>339-1</t>
  </si>
  <si>
    <t>TON</t>
  </si>
  <si>
    <t>430-174-118</t>
  </si>
  <si>
    <t>430-984-125</t>
  </si>
  <si>
    <t>Quantity</t>
  </si>
  <si>
    <t>Cost</t>
  </si>
  <si>
    <t>AS</t>
  </si>
  <si>
    <t>700-20-40</t>
  </si>
  <si>
    <t>710-11-111</t>
  </si>
  <si>
    <t>710-11-125</t>
  </si>
  <si>
    <t>Inlet Protection System</t>
  </si>
  <si>
    <t>Type B Stabilization</t>
  </si>
  <si>
    <t>570-1-2</t>
  </si>
  <si>
    <t>334-1-13</t>
  </si>
  <si>
    <t>337-7-40</t>
  </si>
  <si>
    <t>Project Total</t>
  </si>
  <si>
    <t>430-174-115</t>
  </si>
  <si>
    <t>Notes</t>
  </si>
  <si>
    <t>Unit Price</t>
  </si>
  <si>
    <t>102-1</t>
  </si>
  <si>
    <t>Maintenance of Traffic</t>
  </si>
  <si>
    <t xml:space="preserve">Painted Pvt. Mark. Std. White Solid - 6" </t>
  </si>
  <si>
    <t>711-11-111</t>
  </si>
  <si>
    <t>711-11-125</t>
  </si>
  <si>
    <t xml:space="preserve">Painted Pavt Mark, Std, White, Solid - 24" </t>
  </si>
  <si>
    <t>temporary striping</t>
  </si>
  <si>
    <t>Additional contract time will be allowed for thermoplastic striping.</t>
  </si>
  <si>
    <t xml:space="preserve">Thermoplastic Std, White, Solid - 24" </t>
  </si>
  <si>
    <t>Stacked Turbidity Barrier - Nylon Reinforced</t>
  </si>
  <si>
    <t>Asph Conc FC, Traffic B, FC-9.5, PG 76-22</t>
  </si>
  <si>
    <t>Miscellaneous Asphalt Pavement</t>
  </si>
  <si>
    <t>Single Post Sign Relocate</t>
  </si>
  <si>
    <t xml:space="preserve">Pipe Culvert Optional Materials, Round, 24" SD </t>
  </si>
  <si>
    <t>Pipe Culvert Option Material, Round, 36" SD</t>
  </si>
  <si>
    <t>Mitered End Section, Optional Round, 36" SD</t>
  </si>
  <si>
    <t>S-1</t>
  </si>
  <si>
    <t>Extra asphalt on top of S-2</t>
  </si>
  <si>
    <t>Temporary striping</t>
  </si>
  <si>
    <t xml:space="preserve">S-2, traffic loading requirement, including manhole &amp; space ring  </t>
  </si>
  <si>
    <t>S-3, including chains and locks</t>
  </si>
  <si>
    <t>Cleanup 30" RCP (40 LF) &amp; Video Tape All Pipes</t>
  </si>
  <si>
    <t>Video tape after construction and cleanup</t>
  </si>
  <si>
    <t xml:space="preserve">Construction Layout &amp; As-built Survey </t>
  </si>
  <si>
    <t>514-71-1</t>
  </si>
  <si>
    <t>Plastic Filter Fabric, Subsurface</t>
  </si>
  <si>
    <t>Includes daily cleaning for Buck Lake Road and Medallion way</t>
  </si>
  <si>
    <t>Soil Tracking Prevention</t>
  </si>
  <si>
    <t>Including VMS boards &amp; barricades for road closures</t>
  </si>
  <si>
    <t>110-4</t>
  </si>
  <si>
    <t>Remove Existing Pavement</t>
  </si>
  <si>
    <t>LC-01</t>
  </si>
  <si>
    <t>120-6</t>
  </si>
  <si>
    <t>Embankment</t>
  </si>
  <si>
    <t>530-3-4</t>
  </si>
  <si>
    <t>LC-02</t>
  </si>
  <si>
    <t>LC-03</t>
  </si>
  <si>
    <t>Including Auto CAD drawing files</t>
  </si>
  <si>
    <t>Subsoil Excavation</t>
  </si>
  <si>
    <t>Dewatering Plan</t>
  </si>
  <si>
    <t>120-4</t>
  </si>
  <si>
    <t xml:space="preserve">Thermoplastic Std. White Solid - 6" </t>
  </si>
  <si>
    <t>Including prime &amp; tack coats</t>
  </si>
  <si>
    <t>125-3</t>
  </si>
  <si>
    <t>granitic materials</t>
  </si>
  <si>
    <t>Select Bedding Materials, #57 stones</t>
  </si>
  <si>
    <t>104-13</t>
  </si>
  <si>
    <t>104-12-A</t>
  </si>
  <si>
    <t>110-3</t>
  </si>
  <si>
    <t xml:space="preserve">Remove Existing Structures </t>
  </si>
  <si>
    <t>425-3</t>
  </si>
  <si>
    <t>425-1</t>
  </si>
  <si>
    <t xml:space="preserve"> Ditch Bottom Inlet - Type C, Less than 10'</t>
  </si>
  <si>
    <t xml:space="preserve">Junction Box - Type J (8'x4'), Less than 10' </t>
  </si>
  <si>
    <t>285-7-06</t>
  </si>
  <si>
    <t>120-2</t>
  </si>
  <si>
    <t>Unit</t>
  </si>
  <si>
    <t>Note 1.</t>
  </si>
  <si>
    <t>for Headwall &amp; 24" CMP; excavation &amp; disposal included</t>
  </si>
  <si>
    <t>Borrow/Fill</t>
  </si>
  <si>
    <t>Cut &amp; Fill Calculations</t>
  </si>
  <si>
    <t>Cross Sec. Station</t>
  </si>
  <si>
    <t>Interval (LF)</t>
  </si>
  <si>
    <t>Cut Area (SF)</t>
  </si>
  <si>
    <t>Fill Area (SF)</t>
  </si>
  <si>
    <t>Incremental Cut Vol (CY)</t>
  </si>
  <si>
    <t>Cumm. Cut Vol (CY)</t>
  </si>
  <si>
    <t>Incremental Fill Vol (CY)</t>
  </si>
  <si>
    <t>Cumm. Fill Vol (CY)</t>
  </si>
  <si>
    <t>For road subgrade and base, after removal of existing asphalt</t>
  </si>
  <si>
    <t>Notes:</t>
  </si>
  <si>
    <t>1.  Cummulative cut volume is an estimate reference to evaluate the cut quantity in bid sheet.</t>
  </si>
  <si>
    <t>Shall be submitted by a Florida PE.</t>
  </si>
  <si>
    <t xml:space="preserve">For S-1, S-2, S-3 &amp; ditch grading </t>
  </si>
  <si>
    <t>Performance Turf, Sod, Centipede</t>
  </si>
  <si>
    <t>Performance Turf, Seed &amp; Mulch</t>
  </si>
  <si>
    <t>As needed</t>
  </si>
  <si>
    <t>10' W x15' L x1.5' D</t>
  </si>
  <si>
    <t>570-1-1</t>
  </si>
  <si>
    <t>12" Thick, LBR = 40</t>
  </si>
  <si>
    <t>Optional Base, Base Group 6</t>
  </si>
  <si>
    <t>limerock 8", LBR = 100</t>
  </si>
  <si>
    <t>Superpave Asphaltic Conc, Traffic C, SP-12.5</t>
  </si>
  <si>
    <t>Type D-3</t>
  </si>
  <si>
    <t>Rip-raps, clean concrete rubbles, grouted</t>
  </si>
  <si>
    <t>Type III silt fence with hog wire enforcement or synthetic bales</t>
  </si>
  <si>
    <t>Road subgrade and trench cut backfill</t>
  </si>
  <si>
    <t>Relocate existing STOP sign</t>
  </si>
  <si>
    <t>Include milling of adjacent roadway pavement</t>
  </si>
  <si>
    <t>Medallion Way &amp; Buck Lake Road Intersection Drainage Improvements - Bid Pricing Sheet</t>
  </si>
  <si>
    <t xml:space="preserve">All quantities in LF, SF, SY, CF &amp; CY are based on in-situ dimensions and calculations.  If Contractor does not agree with bid quantities, Contractor is required to notify the project owner for discussion to reach agreement before construction per Sec. 4-3.2 of FDOT Standard Specifications.    </t>
  </si>
  <si>
    <t>up to 4" thickness and disposal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</si>
</sst>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Up="1"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 diagonalUp="1">
      <left/>
      <right style="hair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 diagonalUp="1"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 diagonalUp="1">
      <left/>
      <right style="hair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hair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>
      <left style="hair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hair">
        <color auto="1"/>
      </left>
      <right style="thin">
        <color indexed="64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44" fontId="2" fillId="0" borderId="12" xfId="2" applyFont="1" applyBorder="1" applyAlignment="1">
      <alignment wrapText="1"/>
    </xf>
    <xf numFmtId="44" fontId="2" fillId="0" borderId="12" xfId="2" applyFont="1" applyBorder="1" applyAlignment="1">
      <alignment horizontal="left" wrapText="1"/>
    </xf>
    <xf numFmtId="44" fontId="2" fillId="0" borderId="6" xfId="2" applyFont="1" applyBorder="1" applyAlignment="1">
      <alignment horizontal="left" wrapText="1"/>
    </xf>
    <xf numFmtId="44" fontId="2" fillId="0" borderId="3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0" fontId="3" fillId="0" borderId="13" xfId="0" applyFont="1" applyBorder="1" applyAlignment="1">
      <alignment horizontal="center" wrapText="1"/>
    </xf>
    <xf numFmtId="4" fontId="4" fillId="0" borderId="14" xfId="0" applyNumberFormat="1" applyFont="1" applyBorder="1"/>
    <xf numFmtId="4" fontId="4" fillId="0" borderId="16" xfId="0" applyNumberFormat="1" applyFont="1" applyBorder="1"/>
    <xf numFmtId="0" fontId="3" fillId="0" borderId="17" xfId="0" applyFont="1" applyBorder="1" applyAlignment="1">
      <alignment horizontal="center" wrapText="1"/>
    </xf>
    <xf numFmtId="4" fontId="4" fillId="0" borderId="18" xfId="0" applyNumberFormat="1" applyFont="1" applyBorder="1"/>
    <xf numFmtId="4" fontId="4" fillId="0" borderId="19" xfId="0" applyNumberFormat="1" applyFont="1" applyBorder="1"/>
    <xf numFmtId="4" fontId="4" fillId="0" borderId="20" xfId="0" applyNumberFormat="1" applyFont="1" applyBorder="1"/>
    <xf numFmtId="2" fontId="3" fillId="0" borderId="21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/>
    <xf numFmtId="0" fontId="3" fillId="0" borderId="26" xfId="0" applyFont="1" applyBorder="1" applyAlignment="1">
      <alignment horizontal="center" wrapText="1"/>
    </xf>
    <xf numFmtId="4" fontId="4" fillId="0" borderId="27" xfId="0" applyNumberFormat="1" applyFont="1" applyBorder="1"/>
    <xf numFmtId="4" fontId="4" fillId="0" borderId="28" xfId="0" applyNumberFormat="1" applyFont="1" applyBorder="1"/>
    <xf numFmtId="0" fontId="3" fillId="0" borderId="30" xfId="0" applyFont="1" applyBorder="1" applyAlignment="1">
      <alignment horizontal="center" wrapText="1"/>
    </xf>
    <xf numFmtId="4" fontId="4" fillId="0" borderId="31" xfId="0" applyNumberFormat="1" applyFont="1" applyBorder="1"/>
    <xf numFmtId="4" fontId="4" fillId="0" borderId="32" xfId="0" applyNumberFormat="1" applyFont="1" applyBorder="1"/>
    <xf numFmtId="4" fontId="4" fillId="0" borderId="33" xfId="0" applyNumberFormat="1" applyFont="1" applyBorder="1"/>
    <xf numFmtId="4" fontId="3" fillId="0" borderId="27" xfId="0" applyNumberFormat="1" applyFont="1" applyBorder="1"/>
    <xf numFmtId="4" fontId="4" fillId="0" borderId="34" xfId="0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4" fontId="5" fillId="0" borderId="27" xfId="0" applyNumberFormat="1" applyFont="1" applyBorder="1"/>
    <xf numFmtId="4" fontId="5" fillId="0" borderId="28" xfId="0" applyNumberFormat="1" applyFont="1" applyBorder="1"/>
    <xf numFmtId="4" fontId="5" fillId="0" borderId="29" xfId="0" applyNumberFormat="1" applyFont="1" applyBorder="1"/>
    <xf numFmtId="4" fontId="5" fillId="0" borderId="15" xfId="0" applyNumberFormat="1" applyFont="1" applyBorder="1"/>
    <xf numFmtId="4" fontId="5" fillId="0" borderId="14" xfId="0" applyNumberFormat="1" applyFont="1" applyBorder="1"/>
    <xf numFmtId="4" fontId="6" fillId="0" borderId="15" xfId="0" applyNumberFormat="1" applyFont="1" applyBorder="1"/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44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43" fontId="4" fillId="0" borderId="10" xfId="1" applyFont="1" applyBorder="1"/>
    <xf numFmtId="44" fontId="4" fillId="0" borderId="11" xfId="2" applyNumberFormat="1" applyFont="1" applyBorder="1"/>
    <xf numFmtId="43" fontId="4" fillId="0" borderId="10" xfId="1" applyFont="1" applyFill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43" fontId="4" fillId="0" borderId="4" xfId="1" applyFont="1" applyBorder="1"/>
    <xf numFmtId="44" fontId="4" fillId="0" borderId="5" xfId="2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4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44" fontId="4" fillId="0" borderId="2" xfId="0" applyNumberFormat="1" applyFont="1" applyBorder="1"/>
    <xf numFmtId="44" fontId="2" fillId="0" borderId="37" xfId="2" applyFont="1" applyBorder="1" applyAlignment="1">
      <alignment wrapText="1"/>
    </xf>
    <xf numFmtId="44" fontId="2" fillId="0" borderId="36" xfId="2" applyFont="1" applyBorder="1" applyAlignment="1">
      <alignment wrapText="1"/>
    </xf>
    <xf numFmtId="0" fontId="2" fillId="0" borderId="40" xfId="0" applyFont="1" applyBorder="1" applyAlignment="1">
      <alignment horizontal="center"/>
    </xf>
    <xf numFmtId="44" fontId="4" fillId="0" borderId="10" xfId="2" applyNumberFormat="1" applyFont="1" applyBorder="1" applyProtection="1">
      <protection locked="0"/>
    </xf>
    <xf numFmtId="44" fontId="4" fillId="0" borderId="4" xfId="2" applyNumberFormat="1" applyFont="1" applyBorder="1" applyProtection="1">
      <protection locked="0"/>
    </xf>
    <xf numFmtId="0" fontId="2" fillId="0" borderId="38" xfId="0" applyFont="1" applyBorder="1" applyAlignment="1">
      <alignment horizontal="left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4" fillId="0" borderId="35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showRuler="0" showWhiteSpace="0" view="pageBreakPreview" zoomScale="150" zoomScaleSheetLayoutView="15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E4" sqref="E4"/>
    </sheetView>
  </sheetViews>
  <sheetFormatPr defaultRowHeight="15" x14ac:dyDescent="0.25"/>
  <cols>
    <col min="1" max="1" width="18.42578125" style="1" customWidth="1"/>
    <col min="2" max="2" width="54.85546875" customWidth="1"/>
    <col min="3" max="3" width="10" style="1" customWidth="1"/>
    <col min="4" max="4" width="12.5703125" style="2" customWidth="1"/>
    <col min="5" max="5" width="16.42578125" customWidth="1"/>
    <col min="6" max="6" width="19.85546875" customWidth="1"/>
    <col min="7" max="7" width="33.5703125" style="3" customWidth="1"/>
  </cols>
  <sheetData>
    <row r="1" spans="1:7" ht="23.25" x14ac:dyDescent="0.35">
      <c r="A1" s="65" t="s">
        <v>125</v>
      </c>
      <c r="B1" s="66"/>
      <c r="C1" s="66"/>
      <c r="D1" s="66"/>
      <c r="E1" s="66"/>
      <c r="F1" s="66"/>
      <c r="G1" s="66"/>
    </row>
    <row r="2" spans="1:7" ht="19.5" thickBot="1" x14ac:dyDescent="0.35">
      <c r="A2" s="67">
        <v>42551</v>
      </c>
      <c r="B2" s="68"/>
      <c r="C2" s="68"/>
      <c r="D2" s="68"/>
      <c r="E2" s="68"/>
      <c r="F2" s="68"/>
      <c r="G2" s="68"/>
    </row>
    <row r="3" spans="1:7" ht="18.75" x14ac:dyDescent="0.3">
      <c r="A3" s="38" t="s">
        <v>0</v>
      </c>
      <c r="B3" s="38" t="s">
        <v>1</v>
      </c>
      <c r="C3" s="39" t="s">
        <v>92</v>
      </c>
      <c r="D3" s="40" t="s">
        <v>21</v>
      </c>
      <c r="E3" s="38" t="s">
        <v>35</v>
      </c>
      <c r="F3" s="41" t="s">
        <v>22</v>
      </c>
      <c r="G3" s="42" t="s">
        <v>34</v>
      </c>
    </row>
    <row r="4" spans="1:7" ht="18.75" x14ac:dyDescent="0.3">
      <c r="A4" s="43" t="s">
        <v>2</v>
      </c>
      <c r="B4" s="44" t="s">
        <v>3</v>
      </c>
      <c r="C4" s="43" t="s">
        <v>4</v>
      </c>
      <c r="D4" s="45">
        <v>1</v>
      </c>
      <c r="E4" s="60"/>
      <c r="F4" s="46">
        <f t="shared" ref="F4:F39" si="0">D4*E4</f>
        <v>0</v>
      </c>
      <c r="G4" s="5"/>
    </row>
    <row r="5" spans="1:7" ht="30.75" customHeight="1" x14ac:dyDescent="0.3">
      <c r="A5" s="43" t="s">
        <v>36</v>
      </c>
      <c r="B5" s="44" t="s">
        <v>37</v>
      </c>
      <c r="C5" s="43" t="s">
        <v>4</v>
      </c>
      <c r="D5" s="45">
        <v>1</v>
      </c>
      <c r="E5" s="60"/>
      <c r="F5" s="46">
        <f t="shared" si="0"/>
        <v>0</v>
      </c>
      <c r="G5" s="5" t="s">
        <v>64</v>
      </c>
    </row>
    <row r="6" spans="1:7" ht="21" customHeight="1" x14ac:dyDescent="0.3">
      <c r="A6" s="43" t="s">
        <v>83</v>
      </c>
      <c r="B6" s="44" t="s">
        <v>45</v>
      </c>
      <c r="C6" s="43" t="s">
        <v>6</v>
      </c>
      <c r="D6" s="45">
        <f>70+30+10</f>
        <v>110</v>
      </c>
      <c r="E6" s="60"/>
      <c r="F6" s="46">
        <f t="shared" si="0"/>
        <v>0</v>
      </c>
      <c r="G6" s="5"/>
    </row>
    <row r="7" spans="1:7" ht="31.5" customHeight="1" x14ac:dyDescent="0.3">
      <c r="A7" s="43" t="s">
        <v>82</v>
      </c>
      <c r="B7" s="44" t="s">
        <v>5</v>
      </c>
      <c r="C7" s="43" t="s">
        <v>6</v>
      </c>
      <c r="D7" s="45">
        <f>30+30+45+20</f>
        <v>125</v>
      </c>
      <c r="E7" s="60"/>
      <c r="F7" s="46">
        <f>D7*E7</f>
        <v>0</v>
      </c>
      <c r="G7" s="5" t="s">
        <v>121</v>
      </c>
    </row>
    <row r="8" spans="1:7" ht="32.25" customHeight="1" x14ac:dyDescent="0.3">
      <c r="A8" s="43" t="s">
        <v>7</v>
      </c>
      <c r="B8" s="44" t="s">
        <v>63</v>
      </c>
      <c r="C8" s="43" t="s">
        <v>4</v>
      </c>
      <c r="D8" s="45">
        <v>1</v>
      </c>
      <c r="E8" s="60"/>
      <c r="F8" s="46">
        <f t="shared" si="0"/>
        <v>0</v>
      </c>
      <c r="G8" s="6" t="s">
        <v>62</v>
      </c>
    </row>
    <row r="9" spans="1:7" ht="21" customHeight="1" x14ac:dyDescent="0.3">
      <c r="A9" s="43" t="s">
        <v>9</v>
      </c>
      <c r="B9" s="44" t="s">
        <v>27</v>
      </c>
      <c r="C9" s="43" t="s">
        <v>8</v>
      </c>
      <c r="D9" s="45">
        <v>1</v>
      </c>
      <c r="E9" s="60"/>
      <c r="F9" s="46">
        <f t="shared" si="0"/>
        <v>0</v>
      </c>
      <c r="G9" s="5"/>
    </row>
    <row r="10" spans="1:7" ht="21" customHeight="1" x14ac:dyDescent="0.3">
      <c r="A10" s="43" t="s">
        <v>10</v>
      </c>
      <c r="B10" s="44" t="s">
        <v>11</v>
      </c>
      <c r="C10" s="43" t="s">
        <v>4</v>
      </c>
      <c r="D10" s="45">
        <v>1</v>
      </c>
      <c r="E10" s="60"/>
      <c r="F10" s="46">
        <f t="shared" si="0"/>
        <v>0</v>
      </c>
      <c r="G10" s="5"/>
    </row>
    <row r="11" spans="1:7" ht="32.25" x14ac:dyDescent="0.3">
      <c r="A11" s="43" t="s">
        <v>65</v>
      </c>
      <c r="B11" s="44" t="s">
        <v>66</v>
      </c>
      <c r="C11" s="43" t="s">
        <v>16</v>
      </c>
      <c r="D11" s="45">
        <f>ROUNDUP(2185/9,0)</f>
        <v>243</v>
      </c>
      <c r="E11" s="60"/>
      <c r="F11" s="46">
        <f t="shared" ref="F11" si="1">D11*E11</f>
        <v>0</v>
      </c>
      <c r="G11" s="5" t="s">
        <v>127</v>
      </c>
    </row>
    <row r="12" spans="1:7" ht="34.5" customHeight="1" x14ac:dyDescent="0.3">
      <c r="A12" s="43" t="s">
        <v>84</v>
      </c>
      <c r="B12" s="44" t="s">
        <v>85</v>
      </c>
      <c r="C12" s="43" t="s">
        <v>4</v>
      </c>
      <c r="D12" s="45">
        <v>1</v>
      </c>
      <c r="E12" s="60"/>
      <c r="F12" s="46">
        <f t="shared" ref="F12" si="2">D12*E12</f>
        <v>0</v>
      </c>
      <c r="G12" s="5" t="s">
        <v>94</v>
      </c>
    </row>
    <row r="13" spans="1:7" ht="34.5" customHeight="1" x14ac:dyDescent="0.3">
      <c r="A13" s="43" t="s">
        <v>91</v>
      </c>
      <c r="B13" s="44" t="s">
        <v>95</v>
      </c>
      <c r="C13" s="43" t="s">
        <v>14</v>
      </c>
      <c r="D13" s="45">
        <f>ROUNDUP(2739*(1+0)/27+(33*10*(5-2))/27,0)</f>
        <v>139</v>
      </c>
      <c r="E13" s="60"/>
      <c r="F13" s="46">
        <f>D13*E13</f>
        <v>0</v>
      </c>
      <c r="G13" s="5" t="s">
        <v>122</v>
      </c>
    </row>
    <row r="14" spans="1:7" ht="32.25" customHeight="1" x14ac:dyDescent="0.3">
      <c r="A14" s="43" t="s">
        <v>12</v>
      </c>
      <c r="B14" s="44" t="s">
        <v>13</v>
      </c>
      <c r="C14" s="43" t="s">
        <v>14</v>
      </c>
      <c r="D14" s="45">
        <f>ROUNDUP((25*10*1.5)/27+5*(8+2)*(4+2)/27+(5*4*4)/27+(20*5*1)/27,0)</f>
        <v>32</v>
      </c>
      <c r="E14" s="60"/>
      <c r="F14" s="46">
        <f t="shared" si="0"/>
        <v>0</v>
      </c>
      <c r="G14" s="5" t="s">
        <v>109</v>
      </c>
    </row>
    <row r="15" spans="1:7" ht="31.5" customHeight="1" x14ac:dyDescent="0.3">
      <c r="A15" s="43" t="s">
        <v>76</v>
      </c>
      <c r="B15" s="44" t="s">
        <v>74</v>
      </c>
      <c r="C15" s="43" t="s">
        <v>14</v>
      </c>
      <c r="D15" s="45">
        <f>ROUNDUP(2739*(2+8/12)/27,0)</f>
        <v>271</v>
      </c>
      <c r="E15" s="60"/>
      <c r="F15" s="46">
        <f t="shared" ref="F15" si="3">D15*E15</f>
        <v>0</v>
      </c>
      <c r="G15" s="5" t="s">
        <v>105</v>
      </c>
    </row>
    <row r="16" spans="1:7" ht="21" customHeight="1" x14ac:dyDescent="0.3">
      <c r="A16" s="43" t="s">
        <v>68</v>
      </c>
      <c r="B16" s="44" t="s">
        <v>69</v>
      </c>
      <c r="C16" s="43" t="s">
        <v>14</v>
      </c>
      <c r="D16" s="47">
        <f>ROUNDUP((401.44+0)/4*(980-960)/27,0)</f>
        <v>75</v>
      </c>
      <c r="E16" s="60"/>
      <c r="F16" s="46">
        <f t="shared" si="0"/>
        <v>0</v>
      </c>
      <c r="G16" s="5"/>
    </row>
    <row r="17" spans="1:7" ht="21" customHeight="1" x14ac:dyDescent="0.3">
      <c r="A17" s="43" t="s">
        <v>79</v>
      </c>
      <c r="B17" s="44" t="s">
        <v>81</v>
      </c>
      <c r="C17" s="43" t="s">
        <v>14</v>
      </c>
      <c r="D17" s="45">
        <f>ROUNDUP(5*(8+2)*(4+2)/27,0)</f>
        <v>12</v>
      </c>
      <c r="E17" s="60"/>
      <c r="F17" s="46">
        <f t="shared" si="0"/>
        <v>0</v>
      </c>
      <c r="G17" s="5" t="s">
        <v>80</v>
      </c>
    </row>
    <row r="18" spans="1:7" ht="21" customHeight="1" x14ac:dyDescent="0.3">
      <c r="A18" s="43" t="s">
        <v>15</v>
      </c>
      <c r="B18" s="44" t="s">
        <v>28</v>
      </c>
      <c r="C18" s="43" t="s">
        <v>16</v>
      </c>
      <c r="D18" s="45">
        <f>ROUNDUP(2739/9,0)</f>
        <v>305</v>
      </c>
      <c r="E18" s="60"/>
      <c r="F18" s="46">
        <f t="shared" si="0"/>
        <v>0</v>
      </c>
      <c r="G18" s="5" t="s">
        <v>115</v>
      </c>
    </row>
    <row r="19" spans="1:7" ht="21" customHeight="1" x14ac:dyDescent="0.3">
      <c r="A19" s="43" t="s">
        <v>90</v>
      </c>
      <c r="B19" s="44" t="s">
        <v>116</v>
      </c>
      <c r="C19" s="43" t="s">
        <v>16</v>
      </c>
      <c r="D19" s="45">
        <f>ROUNDUP(2739/9,0)</f>
        <v>305</v>
      </c>
      <c r="E19" s="60"/>
      <c r="F19" s="46">
        <f t="shared" si="0"/>
        <v>0</v>
      </c>
      <c r="G19" s="5" t="s">
        <v>117</v>
      </c>
    </row>
    <row r="20" spans="1:7" ht="21" customHeight="1" x14ac:dyDescent="0.3">
      <c r="A20" s="43" t="s">
        <v>30</v>
      </c>
      <c r="B20" s="44" t="s">
        <v>118</v>
      </c>
      <c r="C20" s="43" t="s">
        <v>18</v>
      </c>
      <c r="D20" s="45">
        <f>ROUNDUP(2739/9*2*110/2000,0)</f>
        <v>34</v>
      </c>
      <c r="E20" s="60"/>
      <c r="F20" s="46">
        <f t="shared" si="0"/>
        <v>0</v>
      </c>
      <c r="G20" s="5" t="s">
        <v>78</v>
      </c>
    </row>
    <row r="21" spans="1:7" ht="36" customHeight="1" x14ac:dyDescent="0.3">
      <c r="A21" s="43" t="s">
        <v>31</v>
      </c>
      <c r="B21" s="44" t="s">
        <v>46</v>
      </c>
      <c r="C21" s="43" t="s">
        <v>18</v>
      </c>
      <c r="D21" s="45">
        <f>ROUNDUP(2739/9*1*110/2000,0)</f>
        <v>17</v>
      </c>
      <c r="E21" s="60"/>
      <c r="F21" s="46">
        <f t="shared" si="0"/>
        <v>0</v>
      </c>
      <c r="G21" s="5" t="s">
        <v>124</v>
      </c>
    </row>
    <row r="22" spans="1:7" ht="21" customHeight="1" x14ac:dyDescent="0.3">
      <c r="A22" s="43" t="s">
        <v>17</v>
      </c>
      <c r="B22" s="44" t="s">
        <v>47</v>
      </c>
      <c r="C22" s="43" t="s">
        <v>18</v>
      </c>
      <c r="D22" s="45">
        <f>ROUNDUP((8+1.33)*(4+1.33)/9*(10-3)*110/2000,0)</f>
        <v>3</v>
      </c>
      <c r="E22" s="60"/>
      <c r="F22" s="46">
        <f t="shared" si="0"/>
        <v>0</v>
      </c>
      <c r="G22" s="5" t="s">
        <v>53</v>
      </c>
    </row>
    <row r="23" spans="1:7" ht="21" customHeight="1" x14ac:dyDescent="0.3">
      <c r="A23" s="43" t="s">
        <v>87</v>
      </c>
      <c r="B23" s="44" t="s">
        <v>88</v>
      </c>
      <c r="C23" s="43" t="s">
        <v>8</v>
      </c>
      <c r="D23" s="45">
        <v>1</v>
      </c>
      <c r="E23" s="60"/>
      <c r="F23" s="46">
        <f t="shared" si="0"/>
        <v>0</v>
      </c>
      <c r="G23" s="5" t="s">
        <v>56</v>
      </c>
    </row>
    <row r="24" spans="1:7" ht="32.25" x14ac:dyDescent="0.3">
      <c r="A24" s="43" t="s">
        <v>86</v>
      </c>
      <c r="B24" s="44" t="s">
        <v>89</v>
      </c>
      <c r="C24" s="43" t="s">
        <v>8</v>
      </c>
      <c r="D24" s="45">
        <v>1</v>
      </c>
      <c r="E24" s="60"/>
      <c r="F24" s="46">
        <f t="shared" ref="F24" si="4">D24*E24</f>
        <v>0</v>
      </c>
      <c r="G24" s="5" t="s">
        <v>55</v>
      </c>
    </row>
    <row r="25" spans="1:7" ht="21" customHeight="1" x14ac:dyDescent="0.3">
      <c r="A25" s="43" t="s">
        <v>33</v>
      </c>
      <c r="B25" s="44" t="s">
        <v>49</v>
      </c>
      <c r="C25" s="43" t="s">
        <v>6</v>
      </c>
      <c r="D25" s="45">
        <v>47</v>
      </c>
      <c r="E25" s="60"/>
      <c r="F25" s="46">
        <f t="shared" si="0"/>
        <v>0</v>
      </c>
      <c r="G25" s="5"/>
    </row>
    <row r="26" spans="1:7" ht="21" customHeight="1" x14ac:dyDescent="0.3">
      <c r="A26" s="43" t="s">
        <v>19</v>
      </c>
      <c r="B26" s="44" t="s">
        <v>50</v>
      </c>
      <c r="C26" s="43" t="s">
        <v>6</v>
      </c>
      <c r="D26" s="45">
        <v>30</v>
      </c>
      <c r="E26" s="60"/>
      <c r="F26" s="46">
        <f t="shared" si="0"/>
        <v>0</v>
      </c>
      <c r="G26" s="5"/>
    </row>
    <row r="27" spans="1:7" ht="21" customHeight="1" x14ac:dyDescent="0.3">
      <c r="A27" s="43" t="s">
        <v>20</v>
      </c>
      <c r="B27" s="44" t="s">
        <v>51</v>
      </c>
      <c r="C27" s="43" t="s">
        <v>8</v>
      </c>
      <c r="D27" s="45">
        <v>1</v>
      </c>
      <c r="E27" s="60"/>
      <c r="F27" s="46">
        <f t="shared" si="0"/>
        <v>0</v>
      </c>
      <c r="G27" s="5" t="s">
        <v>52</v>
      </c>
    </row>
    <row r="28" spans="1:7" ht="21" customHeight="1" x14ac:dyDescent="0.3">
      <c r="A28" s="43" t="s">
        <v>60</v>
      </c>
      <c r="B28" s="44" t="s">
        <v>61</v>
      </c>
      <c r="C28" s="43" t="s">
        <v>16</v>
      </c>
      <c r="D28" s="45">
        <f>(15*10)/9+(11.3*5*2+7.3*5*2+11.3*7.3)/9</f>
        <v>46.498888888888892</v>
      </c>
      <c r="E28" s="60"/>
      <c r="F28" s="46">
        <f t="shared" ref="F28" si="5">D28*E28</f>
        <v>0</v>
      </c>
      <c r="G28" s="5" t="s">
        <v>119</v>
      </c>
    </row>
    <row r="29" spans="1:7" ht="21" customHeight="1" x14ac:dyDescent="0.3">
      <c r="A29" s="43" t="s">
        <v>70</v>
      </c>
      <c r="B29" s="44" t="s">
        <v>120</v>
      </c>
      <c r="C29" s="43" t="s">
        <v>14</v>
      </c>
      <c r="D29" s="45">
        <f>ROUNDUP(1.5*10*15/27,0)</f>
        <v>9</v>
      </c>
      <c r="E29" s="60"/>
      <c r="F29" s="46">
        <f t="shared" ref="F29" si="6">D29*E29</f>
        <v>0</v>
      </c>
      <c r="G29" s="5" t="s">
        <v>113</v>
      </c>
    </row>
    <row r="30" spans="1:7" ht="21" customHeight="1" x14ac:dyDescent="0.3">
      <c r="A30" s="43" t="s">
        <v>114</v>
      </c>
      <c r="B30" s="44" t="s">
        <v>111</v>
      </c>
      <c r="C30" s="43" t="s">
        <v>16</v>
      </c>
      <c r="D30" s="45">
        <f>ROUNDUP((470.8)/9,0)</f>
        <v>53</v>
      </c>
      <c r="E30" s="60"/>
      <c r="F30" s="46">
        <f t="shared" ref="F30" si="7">D30*E30</f>
        <v>0</v>
      </c>
      <c r="G30" s="5" t="s">
        <v>112</v>
      </c>
    </row>
    <row r="31" spans="1:7" ht="21" customHeight="1" x14ac:dyDescent="0.3">
      <c r="A31" s="43" t="s">
        <v>29</v>
      </c>
      <c r="B31" s="44" t="s">
        <v>110</v>
      </c>
      <c r="C31" s="43" t="s">
        <v>16</v>
      </c>
      <c r="D31" s="45">
        <f>ROUNDUP((955.61+796.32+111.55+74.66)/9,0)</f>
        <v>216</v>
      </c>
      <c r="E31" s="60"/>
      <c r="F31" s="46">
        <f t="shared" si="0"/>
        <v>0</v>
      </c>
      <c r="G31" s="5"/>
    </row>
    <row r="32" spans="1:7" ht="21" customHeight="1" x14ac:dyDescent="0.3">
      <c r="A32" s="43" t="s">
        <v>24</v>
      </c>
      <c r="B32" s="44" t="s">
        <v>48</v>
      </c>
      <c r="C32" s="43" t="s">
        <v>23</v>
      </c>
      <c r="D32" s="45">
        <v>1</v>
      </c>
      <c r="E32" s="60"/>
      <c r="F32" s="46">
        <f t="shared" si="0"/>
        <v>0</v>
      </c>
      <c r="G32" s="5" t="s">
        <v>123</v>
      </c>
    </row>
    <row r="33" spans="1:7" ht="18.75" x14ac:dyDescent="0.3">
      <c r="A33" s="43" t="s">
        <v>25</v>
      </c>
      <c r="B33" s="44" t="s">
        <v>38</v>
      </c>
      <c r="C33" s="43" t="s">
        <v>6</v>
      </c>
      <c r="D33" s="45">
        <f>(66+41)</f>
        <v>107</v>
      </c>
      <c r="E33" s="60"/>
      <c r="F33" s="46">
        <f t="shared" si="0"/>
        <v>0</v>
      </c>
      <c r="G33" s="5" t="s">
        <v>54</v>
      </c>
    </row>
    <row r="34" spans="1:7" ht="32.25" x14ac:dyDescent="0.3">
      <c r="A34" s="43" t="s">
        <v>39</v>
      </c>
      <c r="B34" s="44" t="s">
        <v>77</v>
      </c>
      <c r="C34" s="43" t="s">
        <v>6</v>
      </c>
      <c r="D34" s="45">
        <f>D33</f>
        <v>107</v>
      </c>
      <c r="E34" s="60"/>
      <c r="F34" s="46">
        <f t="shared" ref="F34" si="8">D34*E34</f>
        <v>0</v>
      </c>
      <c r="G34" s="5" t="s">
        <v>43</v>
      </c>
    </row>
    <row r="35" spans="1:7" ht="18.75" x14ac:dyDescent="0.3">
      <c r="A35" s="43" t="s">
        <v>26</v>
      </c>
      <c r="B35" s="44" t="s">
        <v>41</v>
      </c>
      <c r="C35" s="43" t="s">
        <v>6</v>
      </c>
      <c r="D35" s="45">
        <v>20</v>
      </c>
      <c r="E35" s="60"/>
      <c r="F35" s="46">
        <f t="shared" si="0"/>
        <v>0</v>
      </c>
      <c r="G35" s="5" t="s">
        <v>42</v>
      </c>
    </row>
    <row r="36" spans="1:7" ht="32.25" x14ac:dyDescent="0.3">
      <c r="A36" s="43" t="s">
        <v>40</v>
      </c>
      <c r="B36" s="44" t="s">
        <v>44</v>
      </c>
      <c r="C36" s="43" t="s">
        <v>6</v>
      </c>
      <c r="D36" s="45">
        <v>20</v>
      </c>
      <c r="E36" s="60"/>
      <c r="F36" s="46">
        <f t="shared" ref="F36:F37" si="9">D36*E36</f>
        <v>0</v>
      </c>
      <c r="G36" s="5" t="s">
        <v>43</v>
      </c>
    </row>
    <row r="37" spans="1:7" ht="33" thickBot="1" x14ac:dyDescent="0.35">
      <c r="A37" s="43" t="s">
        <v>67</v>
      </c>
      <c r="B37" s="44" t="s">
        <v>57</v>
      </c>
      <c r="C37" s="43" t="s">
        <v>4</v>
      </c>
      <c r="D37" s="45">
        <v>1</v>
      </c>
      <c r="E37" s="60"/>
      <c r="F37" s="46">
        <f t="shared" si="9"/>
        <v>0</v>
      </c>
      <c r="G37" s="58" t="s">
        <v>58</v>
      </c>
    </row>
    <row r="38" spans="1:7" ht="32.25" x14ac:dyDescent="0.3">
      <c r="A38" s="43" t="s">
        <v>71</v>
      </c>
      <c r="B38" s="44" t="s">
        <v>75</v>
      </c>
      <c r="C38" s="43" t="s">
        <v>4</v>
      </c>
      <c r="D38" s="45">
        <v>1</v>
      </c>
      <c r="E38" s="60"/>
      <c r="F38" s="46">
        <f t="shared" ref="F38" si="10">D38*E38</f>
        <v>0</v>
      </c>
      <c r="G38" s="57" t="s">
        <v>108</v>
      </c>
    </row>
    <row r="39" spans="1:7" ht="19.5" thickBot="1" x14ac:dyDescent="0.35">
      <c r="A39" s="48" t="s">
        <v>72</v>
      </c>
      <c r="B39" s="49" t="s">
        <v>59</v>
      </c>
      <c r="C39" s="48" t="s">
        <v>4</v>
      </c>
      <c r="D39" s="50">
        <v>1</v>
      </c>
      <c r="E39" s="61"/>
      <c r="F39" s="51">
        <f t="shared" si="0"/>
        <v>0</v>
      </c>
      <c r="G39" s="7" t="s">
        <v>73</v>
      </c>
    </row>
    <row r="40" spans="1:7" ht="21" customHeight="1" thickTop="1" thickBot="1" x14ac:dyDescent="0.35">
      <c r="A40" s="52"/>
      <c r="B40" s="53"/>
      <c r="C40" s="52"/>
      <c r="D40" s="54"/>
      <c r="E40" s="55" t="s">
        <v>32</v>
      </c>
      <c r="F40" s="56">
        <f>SUM(F4:F39)</f>
        <v>0</v>
      </c>
      <c r="G40" s="8"/>
    </row>
    <row r="41" spans="1:7" ht="37.5" customHeight="1" thickBot="1" x14ac:dyDescent="0.3">
      <c r="A41" s="59" t="s">
        <v>93</v>
      </c>
      <c r="B41" s="62" t="s">
        <v>126</v>
      </c>
      <c r="C41" s="63"/>
      <c r="D41" s="63"/>
      <c r="E41" s="63"/>
      <c r="F41" s="63"/>
      <c r="G41" s="64"/>
    </row>
    <row r="42" spans="1:7" x14ac:dyDescent="0.25">
      <c r="A42"/>
      <c r="C42"/>
      <c r="D42"/>
    </row>
    <row r="43" spans="1:7" x14ac:dyDescent="0.25">
      <c r="A43"/>
      <c r="C43"/>
      <c r="D43"/>
    </row>
    <row r="44" spans="1:7" x14ac:dyDescent="0.25">
      <c r="A44"/>
      <c r="C44"/>
      <c r="D44"/>
    </row>
    <row r="45" spans="1:7" x14ac:dyDescent="0.25">
      <c r="A45"/>
      <c r="C45"/>
      <c r="D45"/>
    </row>
  </sheetData>
  <sheetProtection password="CCAA" sheet="1" objects="1" scenarios="1"/>
  <mergeCells count="3">
    <mergeCell ref="B41:G41"/>
    <mergeCell ref="A1:G1"/>
    <mergeCell ref="A2:G2"/>
  </mergeCells>
  <printOptions horizontalCentered="1"/>
  <pageMargins left="0.5" right="0.5" top="0.25" bottom="0.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H12" sqref="H12"/>
    </sheetView>
  </sheetViews>
  <sheetFormatPr defaultRowHeight="15" x14ac:dyDescent="0.25"/>
  <cols>
    <col min="1" max="1" width="13.85546875" customWidth="1"/>
    <col min="2" max="2" width="14.85546875" customWidth="1"/>
    <col min="3" max="3" width="15.140625" customWidth="1"/>
    <col min="4" max="4" width="14.28515625" customWidth="1"/>
    <col min="5" max="5" width="16.140625" customWidth="1"/>
    <col min="6" max="6" width="12.7109375" customWidth="1"/>
    <col min="7" max="7" width="14.85546875" customWidth="1"/>
    <col min="8" max="8" width="16.28515625" customWidth="1"/>
  </cols>
  <sheetData>
    <row r="1" spans="1:14" ht="19.5" thickBot="1" x14ac:dyDescent="0.35">
      <c r="A1" s="9" t="s">
        <v>96</v>
      </c>
      <c r="B1" s="10"/>
      <c r="C1" s="10"/>
      <c r="D1" s="10"/>
      <c r="E1" s="10"/>
      <c r="F1" s="10"/>
      <c r="G1" s="10"/>
      <c r="H1" s="10"/>
    </row>
    <row r="2" spans="1:14" ht="56.25" x14ac:dyDescent="0.3">
      <c r="A2" s="18" t="s">
        <v>97</v>
      </c>
      <c r="B2" s="14" t="s">
        <v>99</v>
      </c>
      <c r="C2" s="20" t="s">
        <v>100</v>
      </c>
      <c r="D2" s="23" t="s">
        <v>98</v>
      </c>
      <c r="E2" s="14" t="s">
        <v>101</v>
      </c>
      <c r="F2" s="20" t="s">
        <v>102</v>
      </c>
      <c r="G2" s="14" t="s">
        <v>103</v>
      </c>
      <c r="H2" s="11" t="s">
        <v>104</v>
      </c>
      <c r="I2" s="3"/>
      <c r="J2" s="3"/>
      <c r="K2" s="3"/>
      <c r="L2" s="3"/>
      <c r="M2" s="3"/>
      <c r="N2" s="3"/>
    </row>
    <row r="3" spans="1:14" ht="18.75" x14ac:dyDescent="0.3">
      <c r="A3" s="29">
        <v>900</v>
      </c>
      <c r="B3" s="15">
        <f>239.73/4</f>
        <v>59.932499999999997</v>
      </c>
      <c r="C3" s="32">
        <f>232.75/4</f>
        <v>58.1875</v>
      </c>
      <c r="D3" s="24"/>
      <c r="E3" s="16"/>
      <c r="F3" s="22"/>
      <c r="G3" s="16"/>
      <c r="H3" s="12"/>
    </row>
    <row r="4" spans="1:14" ht="18.75" x14ac:dyDescent="0.3">
      <c r="A4" s="30"/>
      <c r="B4" s="16"/>
      <c r="C4" s="33"/>
      <c r="D4" s="25">
        <f>A5-A3</f>
        <v>25</v>
      </c>
      <c r="E4" s="15">
        <f>(B5+B3)/2*D4/27</f>
        <v>57.620370370370374</v>
      </c>
      <c r="F4" s="21">
        <f>E4</f>
        <v>57.620370370370374</v>
      </c>
      <c r="G4" s="15">
        <f>(((C5+C3)/2)*D4)/27</f>
        <v>56.850694444444443</v>
      </c>
      <c r="H4" s="35">
        <f>G4</f>
        <v>56.850694444444443</v>
      </c>
    </row>
    <row r="5" spans="1:14" ht="18.75" x14ac:dyDescent="0.3">
      <c r="A5" s="29">
        <v>925</v>
      </c>
      <c r="B5" s="15">
        <f>258.11/4</f>
        <v>64.527500000000003</v>
      </c>
      <c r="C5" s="32">
        <f>258.44/4</f>
        <v>64.61</v>
      </c>
      <c r="D5" s="24"/>
      <c r="E5" s="16"/>
      <c r="F5" s="22"/>
      <c r="G5" s="16"/>
      <c r="H5" s="36"/>
    </row>
    <row r="6" spans="1:14" ht="18.75" x14ac:dyDescent="0.3">
      <c r="A6" s="30"/>
      <c r="B6" s="16"/>
      <c r="C6" s="33"/>
      <c r="D6" s="25">
        <f>A7-A5</f>
        <v>25</v>
      </c>
      <c r="E6" s="15">
        <f>(B7+B5)/2*D6/27</f>
        <v>62.872685185185183</v>
      </c>
      <c r="F6" s="21">
        <f>F4+E6</f>
        <v>120.49305555555556</v>
      </c>
      <c r="G6" s="15">
        <f>(((C7+C5)/2)*D6)/27</f>
        <v>63.976851851851855</v>
      </c>
      <c r="H6" s="35">
        <f>H4+G6</f>
        <v>120.8275462962963</v>
      </c>
    </row>
    <row r="7" spans="1:14" ht="18.75" x14ac:dyDescent="0.3">
      <c r="A7" s="29">
        <v>950</v>
      </c>
      <c r="B7" s="15">
        <f>285.11/4</f>
        <v>71.277500000000003</v>
      </c>
      <c r="C7" s="32">
        <f>(288.83+5.49)/4</f>
        <v>73.58</v>
      </c>
      <c r="D7" s="24"/>
      <c r="E7" s="16"/>
      <c r="F7" s="22"/>
      <c r="G7" s="16"/>
      <c r="H7" s="36"/>
    </row>
    <row r="8" spans="1:14" ht="18.75" x14ac:dyDescent="0.3">
      <c r="A8" s="30"/>
      <c r="B8" s="16"/>
      <c r="C8" s="33"/>
      <c r="D8" s="25">
        <f>A9-A7</f>
        <v>20</v>
      </c>
      <c r="E8" s="15">
        <f>(B9+B7)/2*D8/27</f>
        <v>58.778703703703698</v>
      </c>
      <c r="F8" s="21">
        <f>F6+E8</f>
        <v>179.27175925925926</v>
      </c>
      <c r="G8" s="15">
        <f>(((C9+C7)/2)*D8)/27</f>
        <v>103.97037037037036</v>
      </c>
      <c r="H8" s="35">
        <f>H6+G8</f>
        <v>224.79791666666665</v>
      </c>
    </row>
    <row r="9" spans="1:14" ht="18.75" x14ac:dyDescent="0.3">
      <c r="A9" s="29">
        <v>970</v>
      </c>
      <c r="B9" s="15">
        <f>349.7/4</f>
        <v>87.424999999999997</v>
      </c>
      <c r="C9" s="32">
        <f>(427.12+401.44)/4</f>
        <v>207.14</v>
      </c>
      <c r="D9" s="24"/>
      <c r="E9" s="16"/>
      <c r="F9" s="22"/>
      <c r="G9" s="16"/>
      <c r="H9" s="36"/>
    </row>
    <row r="10" spans="1:14" ht="18.75" x14ac:dyDescent="0.3">
      <c r="A10" s="30"/>
      <c r="B10" s="16"/>
      <c r="C10" s="33"/>
      <c r="D10" s="25">
        <f>A11-A9</f>
        <v>5</v>
      </c>
      <c r="E10" s="15">
        <f>(B11+B9)/2*D10/27</f>
        <v>17.797916666666666</v>
      </c>
      <c r="F10" s="21">
        <f>F8+E10</f>
        <v>197.06967592592594</v>
      </c>
      <c r="G10" s="15">
        <f>(((C11+C9)/2)*D10)/27</f>
        <v>30.641435185185188</v>
      </c>
      <c r="H10" s="35">
        <f>H8+G10</f>
        <v>255.43935185185182</v>
      </c>
    </row>
    <row r="11" spans="1:14" ht="18.75" x14ac:dyDescent="0.3">
      <c r="A11" s="29">
        <v>975</v>
      </c>
      <c r="B11" s="15">
        <f>419.17/4</f>
        <v>104.7925</v>
      </c>
      <c r="C11" s="32">
        <f>495.15/4</f>
        <v>123.78749999999999</v>
      </c>
      <c r="D11" s="24"/>
      <c r="E11" s="16"/>
      <c r="F11" s="22"/>
      <c r="G11" s="16"/>
      <c r="H11" s="36"/>
    </row>
    <row r="12" spans="1:14" ht="18.75" x14ac:dyDescent="0.3">
      <c r="A12" s="30"/>
      <c r="B12" s="16"/>
      <c r="C12" s="33"/>
      <c r="D12" s="25">
        <f>A13-A11</f>
        <v>14.5</v>
      </c>
      <c r="E12" s="15">
        <f>(B13+B11)/2*D12/27</f>
        <v>126.47692129629631</v>
      </c>
      <c r="F12" s="27">
        <f>F10+E12</f>
        <v>323.54659722222226</v>
      </c>
      <c r="G12" s="15">
        <f>(((C13+C11)/2)*D12)/27</f>
        <v>139.00465277777778</v>
      </c>
      <c r="H12" s="37">
        <f>H10+G12</f>
        <v>394.4440046296296</v>
      </c>
    </row>
    <row r="13" spans="1:14" ht="19.5" thickBot="1" x14ac:dyDescent="0.35">
      <c r="A13" s="31">
        <v>989.5</v>
      </c>
      <c r="B13" s="17">
        <f>1464.9/4</f>
        <v>366.22500000000002</v>
      </c>
      <c r="C13" s="34">
        <f>1575.54/4</f>
        <v>393.88499999999999</v>
      </c>
      <c r="D13" s="26"/>
      <c r="E13" s="19"/>
      <c r="F13" s="28"/>
      <c r="G13" s="19"/>
      <c r="H13" s="13"/>
    </row>
    <row r="14" spans="1:14" ht="15.75" x14ac:dyDescent="0.25">
      <c r="A14" s="4" t="s">
        <v>106</v>
      </c>
      <c r="B14" s="4"/>
      <c r="C14" s="4"/>
      <c r="D14" s="4"/>
      <c r="E14" s="4"/>
    </row>
    <row r="15" spans="1:14" ht="15.75" x14ac:dyDescent="0.25">
      <c r="A15" s="4" t="s">
        <v>107</v>
      </c>
      <c r="B15" s="4"/>
      <c r="C15" s="4"/>
      <c r="D15" s="4"/>
      <c r="E15" s="4"/>
    </row>
    <row r="16" spans="1:14" ht="15.75" x14ac:dyDescent="0.25">
      <c r="A16" s="4"/>
      <c r="B16" s="4"/>
      <c r="C16" s="4"/>
      <c r="D16" s="4"/>
      <c r="E16" s="4"/>
    </row>
    <row r="17" spans="1:5" ht="15.75" x14ac:dyDescent="0.25">
      <c r="A17" s="4"/>
      <c r="B17" s="4"/>
      <c r="C17" s="4"/>
      <c r="D17" s="4"/>
      <c r="E17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Estimate</vt:lpstr>
      <vt:lpstr>Cut &amp; Fill</vt:lpstr>
      <vt:lpstr>'Cut &amp; Fill'!Print_Area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Tobin</dc:creator>
  <cp:lastModifiedBy>User</cp:lastModifiedBy>
  <cp:lastPrinted>2016-06-30T16:31:48Z</cp:lastPrinted>
  <dcterms:created xsi:type="dcterms:W3CDTF">2013-06-14T13:15:53Z</dcterms:created>
  <dcterms:modified xsi:type="dcterms:W3CDTF">2016-07-12T14:16:03Z</dcterms:modified>
</cp:coreProperties>
</file>